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13_ncr:1_{948C2F99-CAE0-49B6-A1F3-3E9D8797917E}" xr6:coauthVersionLast="47" xr6:coauthVersionMax="47" xr10:uidLastSave="{00000000-0000-0000-0000-000000000000}"/>
  <bookViews>
    <workbookView xWindow="-120" yWindow="-120" windowWidth="29040" windowHeight="15840" xr2:uid="{17683EDA-569F-4B80-9252-0A57DA83188D}"/>
  </bookViews>
  <sheets>
    <sheet name="cathy-uae-vs-u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G17" i="1"/>
  <c r="C17" i="1"/>
  <c r="L25" i="1"/>
  <c r="H25" i="1"/>
  <c r="D25" i="1"/>
  <c r="K13" i="1"/>
  <c r="K9" i="1"/>
  <c r="K44" i="1" s="1"/>
  <c r="K8" i="1"/>
  <c r="K43" i="1" s="1"/>
  <c r="K41" i="1"/>
  <c r="K12" i="1"/>
  <c r="K10" i="1"/>
  <c r="L10" i="1" s="1"/>
  <c r="L24" i="1" s="1"/>
  <c r="G41" i="1"/>
  <c r="C41" i="1"/>
  <c r="G13" i="1"/>
  <c r="G9" i="1"/>
  <c r="G8" i="1"/>
  <c r="G43" i="1" s="1"/>
  <c r="G12" i="1"/>
  <c r="G10" i="1"/>
  <c r="H10" i="1" s="1"/>
  <c r="H24" i="1" s="1"/>
  <c r="G37" i="1" l="1"/>
  <c r="H37" i="1"/>
  <c r="K37" i="1"/>
  <c r="L37" i="1"/>
  <c r="G31" i="1"/>
  <c r="K14" i="1"/>
  <c r="K21" i="1" s="1"/>
  <c r="K42" i="1" s="1"/>
  <c r="G44" i="1"/>
  <c r="K31" i="1"/>
  <c r="G14" i="1"/>
  <c r="G21" i="1" s="1"/>
  <c r="G42" i="1" s="1"/>
  <c r="C10" i="1"/>
  <c r="C9" i="1"/>
  <c r="C44" i="1" s="1"/>
  <c r="C8" i="1"/>
  <c r="C43" i="1" s="1"/>
  <c r="D70" i="1"/>
  <c r="D69" i="1"/>
  <c r="D68" i="1"/>
  <c r="D67" i="1"/>
  <c r="D66" i="1"/>
  <c r="C13" i="1"/>
  <c r="C12" i="1"/>
  <c r="D10" i="1" l="1"/>
  <c r="C37" i="1"/>
  <c r="D9" i="1"/>
  <c r="D44" i="1" s="1"/>
  <c r="E44" i="1" s="1"/>
  <c r="H9" i="1"/>
  <c r="H44" i="1" s="1"/>
  <c r="I44" i="1" s="1"/>
  <c r="L9" i="1"/>
  <c r="L44" i="1" s="1"/>
  <c r="M44" i="1" s="1"/>
  <c r="D26" i="1"/>
  <c r="L26" i="1"/>
  <c r="H26" i="1"/>
  <c r="D27" i="1"/>
  <c r="H27" i="1"/>
  <c r="L27" i="1"/>
  <c r="D28" i="1"/>
  <c r="H28" i="1"/>
  <c r="L28" i="1"/>
  <c r="C14" i="1"/>
  <c r="C21" i="1" s="1"/>
  <c r="C42" i="1" s="1"/>
  <c r="D8" i="1"/>
  <c r="D43" i="1" s="1"/>
  <c r="E43" i="1" s="1"/>
  <c r="H8" i="1"/>
  <c r="L8" i="1"/>
  <c r="K32" i="1"/>
  <c r="K22" i="1"/>
  <c r="K15" i="1"/>
  <c r="K16" i="1" s="1"/>
  <c r="G22" i="1"/>
  <c r="G45" i="1" s="1"/>
  <c r="G15" i="1"/>
  <c r="G16" i="1" s="1"/>
  <c r="G32" i="1"/>
  <c r="C31" i="1"/>
  <c r="K45" i="1" l="1"/>
  <c r="D24" i="1"/>
  <c r="D41" i="1" s="1"/>
  <c r="E41" i="1" s="1"/>
  <c r="D37" i="1"/>
  <c r="L43" i="1"/>
  <c r="M43" i="1" s="1"/>
  <c r="L31" i="1"/>
  <c r="H43" i="1"/>
  <c r="I43" i="1" s="1"/>
  <c r="H31" i="1"/>
  <c r="C32" i="1"/>
  <c r="C34" i="1" s="1"/>
  <c r="C35" i="1" s="1"/>
  <c r="D31" i="1"/>
  <c r="D32" i="1" s="1"/>
  <c r="D42" i="1" s="1"/>
  <c r="E42" i="1" s="1"/>
  <c r="H41" i="1"/>
  <c r="I41" i="1" s="1"/>
  <c r="L41" i="1"/>
  <c r="M41" i="1" s="1"/>
  <c r="K18" i="1"/>
  <c r="K19" i="1" s="1"/>
  <c r="K33" i="1"/>
  <c r="K34" i="1"/>
  <c r="K35" i="1" s="1"/>
  <c r="G33" i="1"/>
  <c r="G34" i="1"/>
  <c r="G35" i="1" s="1"/>
  <c r="G18" i="1"/>
  <c r="G19" i="1" s="1"/>
  <c r="C15" i="1"/>
  <c r="C16" i="1" s="1"/>
  <c r="C22" i="1"/>
  <c r="C45" i="1" l="1"/>
  <c r="D45" i="1"/>
  <c r="C33" i="1"/>
  <c r="D33" i="1"/>
  <c r="H32" i="1"/>
  <c r="H42" i="1" s="1"/>
  <c r="I42" i="1" s="1"/>
  <c r="D34" i="1"/>
  <c r="D35" i="1" s="1"/>
  <c r="L32" i="1"/>
  <c r="C18" i="1"/>
  <c r="C19" i="1" s="1"/>
  <c r="L34" i="1" l="1"/>
  <c r="L35" i="1" s="1"/>
  <c r="L42" i="1"/>
  <c r="M42" i="1" s="1"/>
  <c r="E45" i="1"/>
  <c r="C47" i="1"/>
  <c r="C36" i="1"/>
  <c r="C38" i="1"/>
  <c r="G36" i="1"/>
  <c r="G38" i="1"/>
  <c r="K36" i="1"/>
  <c r="K38" i="1"/>
  <c r="D36" i="1"/>
  <c r="D38" i="1"/>
  <c r="L33" i="1"/>
  <c r="L36" i="1"/>
  <c r="H33" i="1"/>
  <c r="H34" i="1"/>
  <c r="H35" i="1" s="1"/>
  <c r="L45" i="1" l="1"/>
  <c r="H45" i="1"/>
  <c r="L38" i="1"/>
  <c r="H36" i="1"/>
  <c r="H38" i="1"/>
  <c r="K47" i="1" l="1"/>
  <c r="M45" i="1"/>
  <c r="G47" i="1"/>
  <c r="I45" i="1"/>
</calcChain>
</file>

<file path=xl/sharedStrings.xml><?xml version="1.0" encoding="utf-8"?>
<sst xmlns="http://schemas.openxmlformats.org/spreadsheetml/2006/main" count="109" uniqueCount="48">
  <si>
    <t>This spreadsheet shows Cathy's savings in the UAE versus the US, for various gross income levels.</t>
  </si>
  <si>
    <t>US</t>
  </si>
  <si>
    <t>UAE</t>
  </si>
  <si>
    <t>standard deduction</t>
  </si>
  <si>
    <t>expenses for business use of home</t>
  </si>
  <si>
    <t>non-discretionary other household expenses</t>
  </si>
  <si>
    <t>freelance permit</t>
  </si>
  <si>
    <t>establishment card</t>
  </si>
  <si>
    <t>residence visa</t>
  </si>
  <si>
    <t>two-bedroom apartment rent</t>
  </si>
  <si>
    <t>health insurance</t>
  </si>
  <si>
    <t>AED/USD peg rate</t>
  </si>
  <si>
    <t>AED</t>
  </si>
  <si>
    <t>USD</t>
  </si>
  <si>
    <t>gross receipts</t>
  </si>
  <si>
    <t>net profit</t>
  </si>
  <si>
    <t>1/2 self-employment tax</t>
  </si>
  <si>
    <t>adjusted gross income</t>
  </si>
  <si>
    <t>qualified business income deduction</t>
  </si>
  <si>
    <t>taxable income</t>
  </si>
  <si>
    <t>regular tax</t>
  </si>
  <si>
    <t>self-employment tax</t>
  </si>
  <si>
    <t>total tax</t>
  </si>
  <si>
    <t>retirement contribution</t>
  </si>
  <si>
    <t>retirement contribution rate</t>
  </si>
  <si>
    <t>charitable contribution</t>
  </si>
  <si>
    <t>charitable contribution rate</t>
  </si>
  <si>
    <t>other household expenses</t>
  </si>
  <si>
    <t>two-bedroom apartment rent in US</t>
  </si>
  <si>
    <t>health insurance in US</t>
  </si>
  <si>
    <t>5% VAT on discretionary other household expenses</t>
  </si>
  <si>
    <t>5% VAT on non-discretionary other household expenses</t>
  </si>
  <si>
    <t>discretionary income before retirement contribution</t>
  </si>
  <si>
    <t>target retirement contribution rate</t>
  </si>
  <si>
    <t>target charitable contribution rate</t>
  </si>
  <si>
    <t>rent</t>
  </si>
  <si>
    <t>taxes other than retirement contribution</t>
  </si>
  <si>
    <t>gross income</t>
  </si>
  <si>
    <t>savings in UAE compared to US</t>
  </si>
  <si>
    <t>discretionary income after retirement contribution</t>
  </si>
  <si>
    <t>expenses in UAE:</t>
  </si>
  <si>
    <t>external constants:</t>
  </si>
  <si>
    <t>budget assumptions:</t>
  </si>
  <si>
    <t>target contribution rates:</t>
  </si>
  <si>
    <t>discretionary other household expenses with any VAT</t>
  </si>
  <si>
    <t>remaining discretionary income</t>
  </si>
  <si>
    <t>savings</t>
  </si>
  <si>
    <t>total taxes, retirement contribution, rent and health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</si>
</sst>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/>
    <xf numFmtId="0" fontId="0" fillId="2" borderId="3" xfId="0" applyFill="1" applyBorder="1" applyAlignment="1">
      <alignment horizontal="right"/>
    </xf>
    <xf numFmtId="0" fontId="0" fillId="2" borderId="0" xfId="0" applyFill="1" applyAlignment="1">
      <alignment horizontal="right"/>
    </xf>
    <xf numFmtId="4" fontId="0" fillId="2" borderId="0" xfId="0" applyNumberFormat="1" applyFill="1"/>
    <xf numFmtId="10" fontId="0" fillId="2" borderId="0" xfId="0" applyNumberFormat="1" applyFill="1"/>
    <xf numFmtId="4" fontId="0" fillId="2" borderId="8" xfId="0" applyNumberFormat="1" applyFill="1" applyBorder="1"/>
    <xf numFmtId="0" fontId="0" fillId="3" borderId="0" xfId="0" applyFill="1"/>
    <xf numFmtId="0" fontId="0" fillId="3" borderId="3" xfId="0" applyFill="1" applyBorder="1" applyAlignment="1">
      <alignment horizontal="right"/>
    </xf>
    <xf numFmtId="0" fontId="0" fillId="3" borderId="0" xfId="0" applyFill="1" applyAlignment="1">
      <alignment horizontal="right"/>
    </xf>
    <xf numFmtId="4" fontId="0" fillId="3" borderId="0" xfId="0" applyNumberFormat="1" applyFill="1"/>
    <xf numFmtId="10" fontId="0" fillId="3" borderId="0" xfId="0" applyNumberFormat="1" applyFill="1"/>
    <xf numFmtId="4" fontId="0" fillId="3" borderId="8" xfId="0" applyNumberFormat="1" applyFill="1" applyBorder="1"/>
    <xf numFmtId="0" fontId="0" fillId="4" borderId="0" xfId="0" applyFill="1"/>
    <xf numFmtId="0" fontId="0" fillId="4" borderId="3" xfId="0" applyFill="1" applyBorder="1" applyAlignment="1">
      <alignment horizontal="right"/>
    </xf>
    <xf numFmtId="0" fontId="0" fillId="4" borderId="0" xfId="0" applyFill="1" applyAlignment="1">
      <alignment horizontal="right"/>
    </xf>
    <xf numFmtId="4" fontId="0" fillId="4" borderId="0" xfId="0" applyNumberFormat="1" applyFill="1"/>
    <xf numFmtId="10" fontId="0" fillId="4" borderId="0" xfId="0" applyNumberFormat="1" applyFill="1"/>
    <xf numFmtId="4" fontId="0" fillId="4" borderId="8" xfId="0" applyNumberFormat="1" applyFill="1" applyBorder="1"/>
    <xf numFmtId="4" fontId="0" fillId="0" borderId="1" xfId="0" applyNumberFormat="1" applyBorder="1"/>
    <xf numFmtId="0" fontId="0" fillId="0" borderId="10" xfId="0" applyBorder="1"/>
    <xf numFmtId="0" fontId="0" fillId="0" borderId="11" xfId="0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164" fontId="0" fillId="0" borderId="1" xfId="0" applyNumberFormat="1" applyBorder="1"/>
    <xf numFmtId="4" fontId="1" fillId="0" borderId="0" xfId="0" applyNumberFormat="1" applyFont="1"/>
    <xf numFmtId="10" fontId="0" fillId="0" borderId="1" xfId="0" applyNumberFormat="1" applyBorder="1"/>
    <xf numFmtId="4" fontId="2" fillId="2" borderId="0" xfId="0" applyNumberFormat="1" applyFont="1" applyFill="1" applyAlignment="1">
      <alignment horizontal="center"/>
    </xf>
    <xf numFmtId="4" fontId="2" fillId="3" borderId="0" xfId="0" applyNumberFormat="1" applyFont="1" applyFill="1" applyAlignment="1">
      <alignment horizontal="center"/>
    </xf>
    <xf numFmtId="4" fontId="2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1C48-A5E1-426D-B463-B797B4C12E1F}">
  <dimension ref="B2:O70"/>
  <sheetViews>
    <sheetView showGridLines="0" tabSelected="1" workbookViewId="0"/>
  </sheetViews>
  <sheetFormatPr defaultRowHeight="15" x14ac:dyDescent="0.25"/>
  <cols>
    <col min="1" max="1" width="5.7109375" customWidth="1"/>
    <col min="2" max="2" width="57.5703125" bestFit="1" customWidth="1"/>
    <col min="3" max="5" width="11.28515625" customWidth="1"/>
    <col min="6" max="6" width="5.7109375" customWidth="1"/>
    <col min="7" max="9" width="11.28515625" customWidth="1"/>
    <col min="10" max="10" width="5.7109375" customWidth="1"/>
    <col min="11" max="13" width="11.28515625" customWidth="1"/>
    <col min="14" max="14" width="5.7109375" customWidth="1"/>
    <col min="15" max="15" width="57.5703125" bestFit="1" customWidth="1"/>
  </cols>
  <sheetData>
    <row r="2" spans="2:15" x14ac:dyDescent="0.25">
      <c r="B2" t="s">
        <v>0</v>
      </c>
    </row>
    <row r="4" spans="2:15" ht="18.75" x14ac:dyDescent="0.3">
      <c r="B4" s="2" t="s">
        <v>37</v>
      </c>
      <c r="C4" s="37">
        <v>83000</v>
      </c>
      <c r="D4" s="37"/>
      <c r="G4" s="38">
        <v>110000</v>
      </c>
      <c r="H4" s="38"/>
      <c r="K4" s="39">
        <v>137000</v>
      </c>
      <c r="L4" s="39"/>
      <c r="O4" s="2" t="s">
        <v>37</v>
      </c>
    </row>
    <row r="5" spans="2:15" x14ac:dyDescent="0.25">
      <c r="C5" s="11"/>
      <c r="D5" s="11"/>
      <c r="G5" s="17"/>
      <c r="H5" s="17"/>
      <c r="K5" s="23"/>
      <c r="L5" s="23"/>
    </row>
    <row r="6" spans="2:15" x14ac:dyDescent="0.25">
      <c r="B6" s="3"/>
      <c r="C6" s="12" t="s">
        <v>1</v>
      </c>
      <c r="D6" s="12" t="s">
        <v>2</v>
      </c>
      <c r="E6" s="4"/>
      <c r="F6" s="4"/>
      <c r="G6" s="18" t="s">
        <v>1</v>
      </c>
      <c r="H6" s="18" t="s">
        <v>2</v>
      </c>
      <c r="I6" s="4"/>
      <c r="J6" s="4"/>
      <c r="K6" s="24" t="s">
        <v>1</v>
      </c>
      <c r="L6" s="24" t="s">
        <v>2</v>
      </c>
      <c r="M6" s="4"/>
      <c r="N6" s="4"/>
      <c r="O6" s="5"/>
    </row>
    <row r="7" spans="2:15" x14ac:dyDescent="0.25">
      <c r="B7" s="6"/>
      <c r="C7" s="13"/>
      <c r="D7" s="13"/>
      <c r="G7" s="19"/>
      <c r="H7" s="19"/>
      <c r="K7" s="25"/>
      <c r="L7" s="25"/>
      <c r="O7" s="7"/>
    </row>
    <row r="8" spans="2:15" x14ac:dyDescent="0.25">
      <c r="B8" s="6" t="s">
        <v>9</v>
      </c>
      <c r="C8" s="14">
        <f>C56</f>
        <v>14400</v>
      </c>
      <c r="D8" s="14">
        <f>D69</f>
        <v>19060.59</v>
      </c>
      <c r="G8" s="20">
        <f>C56</f>
        <v>14400</v>
      </c>
      <c r="H8" s="20">
        <f>D69</f>
        <v>19060.59</v>
      </c>
      <c r="K8" s="26">
        <f>C56</f>
        <v>14400</v>
      </c>
      <c r="L8" s="26">
        <f>D69</f>
        <v>19060.59</v>
      </c>
      <c r="O8" s="7" t="s">
        <v>9</v>
      </c>
    </row>
    <row r="9" spans="2:15" x14ac:dyDescent="0.25">
      <c r="B9" s="6" t="s">
        <v>10</v>
      </c>
      <c r="C9" s="14">
        <f>C57</f>
        <v>4320</v>
      </c>
      <c r="D9" s="14">
        <f>D70</f>
        <v>2722.94</v>
      </c>
      <c r="G9" s="20">
        <f>C57</f>
        <v>4320</v>
      </c>
      <c r="H9" s="20">
        <f>D70</f>
        <v>2722.94</v>
      </c>
      <c r="K9" s="26">
        <f>C57</f>
        <v>4320</v>
      </c>
      <c r="L9" s="26">
        <f>D70</f>
        <v>2722.94</v>
      </c>
      <c r="O9" s="7" t="s">
        <v>10</v>
      </c>
    </row>
    <row r="10" spans="2:15" x14ac:dyDescent="0.25">
      <c r="B10" s="6" t="s">
        <v>27</v>
      </c>
      <c r="C10" s="14">
        <f>(C4-24320)*23/45+8</f>
        <v>30000</v>
      </c>
      <c r="D10" s="14">
        <f>C10</f>
        <v>30000</v>
      </c>
      <c r="G10" s="20">
        <f>(G4-24320)*23/45+8</f>
        <v>43800</v>
      </c>
      <c r="H10" s="20">
        <f>G10</f>
        <v>43800</v>
      </c>
      <c r="K10" s="26">
        <f>(K4-24320)*23/45+8</f>
        <v>57600</v>
      </c>
      <c r="L10" s="26">
        <f>K10</f>
        <v>57600</v>
      </c>
      <c r="O10" s="7" t="s">
        <v>27</v>
      </c>
    </row>
    <row r="11" spans="2:15" x14ac:dyDescent="0.25">
      <c r="B11" s="6"/>
      <c r="C11" s="11"/>
      <c r="D11" s="11"/>
      <c r="G11" s="17"/>
      <c r="H11" s="17"/>
      <c r="K11" s="23"/>
      <c r="L11" s="23"/>
      <c r="O11" s="7"/>
    </row>
    <row r="12" spans="2:15" x14ac:dyDescent="0.25">
      <c r="B12" s="6" t="s">
        <v>14</v>
      </c>
      <c r="C12" s="14">
        <f>C4</f>
        <v>83000</v>
      </c>
      <c r="D12" s="11"/>
      <c r="G12" s="20">
        <f>G4</f>
        <v>110000</v>
      </c>
      <c r="H12" s="17"/>
      <c r="K12" s="26">
        <f>K4</f>
        <v>137000</v>
      </c>
      <c r="L12" s="23"/>
      <c r="O12" s="7" t="s">
        <v>14</v>
      </c>
    </row>
    <row r="13" spans="2:15" x14ac:dyDescent="0.25">
      <c r="B13" s="6" t="s">
        <v>4</v>
      </c>
      <c r="C13" s="14">
        <f>C55</f>
        <v>2000</v>
      </c>
      <c r="D13" s="11"/>
      <c r="G13" s="20">
        <f>C55</f>
        <v>2000</v>
      </c>
      <c r="H13" s="17"/>
      <c r="K13" s="26">
        <f>C55</f>
        <v>2000</v>
      </c>
      <c r="L13" s="23"/>
      <c r="O13" s="7" t="s">
        <v>4</v>
      </c>
    </row>
    <row r="14" spans="2:15" x14ac:dyDescent="0.25">
      <c r="B14" s="6" t="s">
        <v>15</v>
      </c>
      <c r="C14" s="14">
        <f>C12-C13</f>
        <v>81000</v>
      </c>
      <c r="D14" s="11"/>
      <c r="G14" s="20">
        <f>G12-G13</f>
        <v>108000</v>
      </c>
      <c r="H14" s="17"/>
      <c r="K14" s="26">
        <f>K12-K13</f>
        <v>135000</v>
      </c>
      <c r="L14" s="23"/>
      <c r="O14" s="7" t="s">
        <v>15</v>
      </c>
    </row>
    <row r="15" spans="2:15" x14ac:dyDescent="0.25">
      <c r="B15" s="6" t="s">
        <v>16</v>
      </c>
      <c r="C15" s="14">
        <f>ROUND(C21/2,2)</f>
        <v>5722.47</v>
      </c>
      <c r="D15" s="11"/>
      <c r="G15" s="20">
        <f>ROUND(G21/2,2)</f>
        <v>7629.96</v>
      </c>
      <c r="H15" s="17"/>
      <c r="K15" s="26">
        <f>ROUND(K21/2,2)</f>
        <v>9537.4500000000007</v>
      </c>
      <c r="L15" s="23"/>
      <c r="O15" s="7" t="s">
        <v>16</v>
      </c>
    </row>
    <row r="16" spans="2:15" x14ac:dyDescent="0.25">
      <c r="B16" s="6" t="s">
        <v>17</v>
      </c>
      <c r="C16" s="14">
        <f>C14-C15</f>
        <v>75277.53</v>
      </c>
      <c r="D16" s="11"/>
      <c r="G16" s="20">
        <f>G14-G15</f>
        <v>100370.04</v>
      </c>
      <c r="H16" s="17"/>
      <c r="K16" s="26">
        <f>K14-K15</f>
        <v>125462.55</v>
      </c>
      <c r="L16" s="23"/>
      <c r="O16" s="7" t="s">
        <v>17</v>
      </c>
    </row>
    <row r="17" spans="2:15" x14ac:dyDescent="0.25">
      <c r="B17" s="6" t="s">
        <v>3</v>
      </c>
      <c r="C17" s="14">
        <f>C51</f>
        <v>12950</v>
      </c>
      <c r="D17" s="11"/>
      <c r="G17" s="20">
        <f>C51</f>
        <v>12950</v>
      </c>
      <c r="H17" s="17"/>
      <c r="K17" s="26">
        <f>C51</f>
        <v>12950</v>
      </c>
      <c r="L17" s="23"/>
      <c r="O17" s="7" t="s">
        <v>3</v>
      </c>
    </row>
    <row r="18" spans="2:15" x14ac:dyDescent="0.25">
      <c r="B18" s="6" t="s">
        <v>18</v>
      </c>
      <c r="C18" s="14">
        <f>ROUND((C16-C17)/5,2)</f>
        <v>12465.51</v>
      </c>
      <c r="D18" s="11"/>
      <c r="G18" s="20">
        <f>ROUND((G16-G17)/5,2)</f>
        <v>17484.009999999998</v>
      </c>
      <c r="H18" s="17"/>
      <c r="K18" s="26">
        <f>ROUND((K16-K17)/5,2)</f>
        <v>22502.51</v>
      </c>
      <c r="L18" s="23"/>
      <c r="O18" s="7" t="s">
        <v>18</v>
      </c>
    </row>
    <row r="19" spans="2:15" x14ac:dyDescent="0.25">
      <c r="B19" s="6" t="s">
        <v>19</v>
      </c>
      <c r="C19" s="14">
        <f>C16-C17-C18</f>
        <v>49862.02</v>
      </c>
      <c r="D19" s="11"/>
      <c r="G19" s="20">
        <f>G16-G17-G18</f>
        <v>69936.03</v>
      </c>
      <c r="H19" s="17"/>
      <c r="K19" s="26">
        <f>K16-K17-K18</f>
        <v>90010.040000000008</v>
      </c>
      <c r="L19" s="23"/>
      <c r="O19" s="7" t="s">
        <v>19</v>
      </c>
    </row>
    <row r="20" spans="2:15" x14ac:dyDescent="0.25">
      <c r="B20" s="6" t="s">
        <v>20</v>
      </c>
      <c r="C20" s="14">
        <v>6590</v>
      </c>
      <c r="D20" s="11"/>
      <c r="G20" s="20">
        <v>11001</v>
      </c>
      <c r="H20" s="17"/>
      <c r="K20" s="26">
        <v>15442</v>
      </c>
      <c r="L20" s="23"/>
      <c r="O20" s="7" t="s">
        <v>20</v>
      </c>
    </row>
    <row r="21" spans="2:15" x14ac:dyDescent="0.25">
      <c r="B21" s="6" t="s">
        <v>21</v>
      </c>
      <c r="C21" s="14">
        <f>ROUND(ROUND(C14*0.9235,2)*0.153,2)</f>
        <v>11444.94</v>
      </c>
      <c r="D21" s="11"/>
      <c r="G21" s="20">
        <f>ROUND(ROUND(G14*0.9235,2)*0.153,2)</f>
        <v>15259.91</v>
      </c>
      <c r="H21" s="17"/>
      <c r="K21" s="26">
        <f>ROUND(ROUND(K14*0.9235,2)*0.153,2)</f>
        <v>19074.89</v>
      </c>
      <c r="L21" s="23"/>
      <c r="O21" s="7" t="s">
        <v>21</v>
      </c>
    </row>
    <row r="22" spans="2:15" x14ac:dyDescent="0.25">
      <c r="B22" s="6" t="s">
        <v>22</v>
      </c>
      <c r="C22" s="14">
        <f>C20+C21</f>
        <v>18034.940000000002</v>
      </c>
      <c r="D22" s="11"/>
      <c r="G22" s="20">
        <f>G20+G21</f>
        <v>26260.91</v>
      </c>
      <c r="H22" s="17"/>
      <c r="K22" s="26">
        <f>K20+K21</f>
        <v>34516.89</v>
      </c>
      <c r="L22" s="23"/>
      <c r="O22" s="7" t="s">
        <v>22</v>
      </c>
    </row>
    <row r="23" spans="2:15" x14ac:dyDescent="0.25">
      <c r="B23" s="6"/>
      <c r="C23" s="11"/>
      <c r="D23" s="11"/>
      <c r="G23" s="17"/>
      <c r="H23" s="17"/>
      <c r="K23" s="23"/>
      <c r="L23" s="23"/>
      <c r="O23" s="7"/>
    </row>
    <row r="24" spans="2:15" x14ac:dyDescent="0.25">
      <c r="B24" s="6" t="s">
        <v>30</v>
      </c>
      <c r="C24" s="11"/>
      <c r="D24" s="14">
        <f>(D10-C58)*0.05</f>
        <v>900</v>
      </c>
      <c r="G24" s="17"/>
      <c r="H24" s="20">
        <f>(H10-C58)*0.05</f>
        <v>1590</v>
      </c>
      <c r="K24" s="23"/>
      <c r="L24" s="26">
        <f>(L10-C58)*0.05</f>
        <v>2280</v>
      </c>
      <c r="O24" s="7" t="s">
        <v>30</v>
      </c>
    </row>
    <row r="25" spans="2:15" x14ac:dyDescent="0.25">
      <c r="B25" s="6" t="s">
        <v>31</v>
      </c>
      <c r="C25" s="11"/>
      <c r="D25" s="14">
        <f>C58*0.05</f>
        <v>600</v>
      </c>
      <c r="G25" s="17"/>
      <c r="H25" s="20">
        <f>C58*0.05</f>
        <v>600</v>
      </c>
      <c r="K25" s="23"/>
      <c r="L25" s="26">
        <f>C58*0.05</f>
        <v>600</v>
      </c>
      <c r="O25" s="7" t="s">
        <v>31</v>
      </c>
    </row>
    <row r="26" spans="2:15" x14ac:dyDescent="0.25">
      <c r="B26" s="6" t="s">
        <v>6</v>
      </c>
      <c r="C26" s="11"/>
      <c r="D26" s="14">
        <f>D66</f>
        <v>2042.21</v>
      </c>
      <c r="G26" s="17"/>
      <c r="H26" s="20">
        <f>D66</f>
        <v>2042.21</v>
      </c>
      <c r="K26" s="23"/>
      <c r="L26" s="26">
        <f>D66</f>
        <v>2042.21</v>
      </c>
      <c r="O26" s="7" t="s">
        <v>6</v>
      </c>
    </row>
    <row r="27" spans="2:15" x14ac:dyDescent="0.25">
      <c r="B27" s="6" t="s">
        <v>7</v>
      </c>
      <c r="C27" s="11"/>
      <c r="D27" s="14">
        <f>D67</f>
        <v>544.59</v>
      </c>
      <c r="G27" s="17"/>
      <c r="H27" s="20">
        <f>D67</f>
        <v>544.59</v>
      </c>
      <c r="K27" s="23"/>
      <c r="L27" s="26">
        <f>D67</f>
        <v>544.59</v>
      </c>
      <c r="O27" s="7" t="s">
        <v>7</v>
      </c>
    </row>
    <row r="28" spans="2:15" x14ac:dyDescent="0.25">
      <c r="B28" s="6" t="s">
        <v>8</v>
      </c>
      <c r="C28" s="11"/>
      <c r="D28" s="14">
        <f>D68</f>
        <v>450.1</v>
      </c>
      <c r="G28" s="17"/>
      <c r="H28" s="20">
        <f>D68</f>
        <v>450.1</v>
      </c>
      <c r="K28" s="23"/>
      <c r="L28" s="26">
        <f>D68</f>
        <v>450.1</v>
      </c>
      <c r="O28" s="7" t="s">
        <v>8</v>
      </c>
    </row>
    <row r="29" spans="2:15" x14ac:dyDescent="0.25">
      <c r="B29" s="6"/>
      <c r="C29" s="11"/>
      <c r="D29" s="11"/>
      <c r="G29" s="17"/>
      <c r="H29" s="17"/>
      <c r="K29" s="23"/>
      <c r="L29" s="23"/>
      <c r="O29" s="7"/>
    </row>
    <row r="30" spans="2:15" x14ac:dyDescent="0.25">
      <c r="B30" s="6"/>
      <c r="C30" s="13" t="s">
        <v>1</v>
      </c>
      <c r="D30" s="13" t="s">
        <v>2</v>
      </c>
      <c r="G30" s="19" t="s">
        <v>1</v>
      </c>
      <c r="H30" s="19" t="s">
        <v>2</v>
      </c>
      <c r="K30" s="25" t="s">
        <v>1</v>
      </c>
      <c r="L30" s="25" t="s">
        <v>2</v>
      </c>
      <c r="O30" s="7"/>
    </row>
    <row r="31" spans="2:15" x14ac:dyDescent="0.25">
      <c r="B31" s="6" t="s">
        <v>32</v>
      </c>
      <c r="C31" s="14">
        <f>C4-SUM(C8:C9)-C58-C20</f>
        <v>45690</v>
      </c>
      <c r="D31" s="14">
        <f>C4-SUM(D8:D9)-C58-SUM(D25:D28)</f>
        <v>45579.57</v>
      </c>
      <c r="G31" s="20">
        <f>G4-SUM(G8:G9)-C58-G20</f>
        <v>68279</v>
      </c>
      <c r="H31" s="20">
        <f>G4-SUM(H8:H9)-C58-SUM(H25:H28)</f>
        <v>72579.570000000007</v>
      </c>
      <c r="K31" s="26">
        <f>K4-SUM(K8:K9)-C58-K20</f>
        <v>90838</v>
      </c>
      <c r="L31" s="26">
        <f>K4-SUM(L8:L9)-C58-SUM(L25:L28)</f>
        <v>99579.57</v>
      </c>
      <c r="O31" s="7" t="s">
        <v>32</v>
      </c>
    </row>
    <row r="32" spans="2:15" x14ac:dyDescent="0.25">
      <c r="B32" s="6" t="s">
        <v>23</v>
      </c>
      <c r="C32" s="14">
        <f>C21</f>
        <v>11444.94</v>
      </c>
      <c r="D32" s="14">
        <f>ROUND(D31*C61,2)</f>
        <v>6836.94</v>
      </c>
      <c r="G32" s="20">
        <f>G21</f>
        <v>15259.91</v>
      </c>
      <c r="H32" s="20">
        <f>ROUND(H31*C61,2)</f>
        <v>10886.94</v>
      </c>
      <c r="K32" s="26">
        <f>K21</f>
        <v>19074.89</v>
      </c>
      <c r="L32" s="26">
        <f>ROUND(L31*C61,2)</f>
        <v>14936.94</v>
      </c>
      <c r="O32" s="7" t="s">
        <v>23</v>
      </c>
    </row>
    <row r="33" spans="2:15" x14ac:dyDescent="0.25">
      <c r="B33" s="6" t="s">
        <v>24</v>
      </c>
      <c r="C33" s="15">
        <f>C32/C31</f>
        <v>0.25049113591595534</v>
      </c>
      <c r="D33" s="15">
        <f>D32/D31</f>
        <v>0.15000009872844347</v>
      </c>
      <c r="G33" s="21">
        <f>G32/G31</f>
        <v>0.22349346065408104</v>
      </c>
      <c r="H33" s="21">
        <f>H32/H31</f>
        <v>0.15000006200091842</v>
      </c>
      <c r="K33" s="27">
        <f>K32/K31</f>
        <v>0.2099880006164821</v>
      </c>
      <c r="L33" s="27">
        <f>L32/L31</f>
        <v>0.15000004518999227</v>
      </c>
      <c r="O33" s="7" t="s">
        <v>24</v>
      </c>
    </row>
    <row r="34" spans="2:15" x14ac:dyDescent="0.25">
      <c r="B34" s="6" t="s">
        <v>39</v>
      </c>
      <c r="C34" s="14">
        <f>C31-C32</f>
        <v>34245.06</v>
      </c>
      <c r="D34" s="14">
        <f>D31-D32</f>
        <v>38742.629999999997</v>
      </c>
      <c r="G34" s="20">
        <f>G31-G32</f>
        <v>53019.09</v>
      </c>
      <c r="H34" s="20">
        <f>H31-H32</f>
        <v>61692.630000000005</v>
      </c>
      <c r="K34" s="26">
        <f>K31-K32</f>
        <v>71763.11</v>
      </c>
      <c r="L34" s="26">
        <f>L31-L32</f>
        <v>84642.63</v>
      </c>
      <c r="O34" s="7" t="s">
        <v>39</v>
      </c>
    </row>
    <row r="35" spans="2:15" x14ac:dyDescent="0.25">
      <c r="B35" s="6" t="s">
        <v>25</v>
      </c>
      <c r="C35" s="14">
        <f>ROUND(C34*C62,2)</f>
        <v>6849.01</v>
      </c>
      <c r="D35" s="14">
        <f>ROUND(D34*C62,2)</f>
        <v>7748.53</v>
      </c>
      <c r="G35" s="20">
        <f>ROUND(G34*C62,2)</f>
        <v>10603.82</v>
      </c>
      <c r="H35" s="20">
        <f>ROUND(H34*C62,2)</f>
        <v>12338.53</v>
      </c>
      <c r="K35" s="26">
        <f>ROUND(K34*C62,2)</f>
        <v>14352.62</v>
      </c>
      <c r="L35" s="26">
        <f>ROUND(L34*C62,2)</f>
        <v>16928.53</v>
      </c>
      <c r="O35" s="7" t="s">
        <v>25</v>
      </c>
    </row>
    <row r="36" spans="2:15" x14ac:dyDescent="0.25">
      <c r="B36" s="6" t="s">
        <v>26</v>
      </c>
      <c r="C36" s="15">
        <f>C35/C34</f>
        <v>0.19999994159741583</v>
      </c>
      <c r="D36" s="15">
        <f>D35/D34</f>
        <v>0.20000010324544307</v>
      </c>
      <c r="G36" s="21">
        <f>G35/G34</f>
        <v>0.20000003772226194</v>
      </c>
      <c r="H36" s="21">
        <f>H35/H34</f>
        <v>0.20000006483756649</v>
      </c>
      <c r="K36" s="27">
        <f>K35/K34</f>
        <v>0.19999997213052781</v>
      </c>
      <c r="L36" s="27">
        <f>L35/L34</f>
        <v>0.20000004725751075</v>
      </c>
      <c r="O36" s="7" t="s">
        <v>26</v>
      </c>
    </row>
    <row r="37" spans="2:15" x14ac:dyDescent="0.25">
      <c r="B37" s="6" t="s">
        <v>44</v>
      </c>
      <c r="C37" s="14">
        <f>C10-C58</f>
        <v>18000</v>
      </c>
      <c r="D37" s="14">
        <f>(D10-C58)*1.05</f>
        <v>18900</v>
      </c>
      <c r="G37" s="20">
        <f>G10-C58</f>
        <v>31800</v>
      </c>
      <c r="H37" s="20">
        <f>(H10-C58)*1.05</f>
        <v>33390</v>
      </c>
      <c r="K37" s="26">
        <f>K10-C58</f>
        <v>45600</v>
      </c>
      <c r="L37" s="26">
        <f>(L10-C58)*1.05</f>
        <v>47880</v>
      </c>
      <c r="O37" s="7" t="s">
        <v>44</v>
      </c>
    </row>
    <row r="38" spans="2:15" x14ac:dyDescent="0.25">
      <c r="B38" s="6" t="s">
        <v>45</v>
      </c>
      <c r="C38" s="14">
        <f>C34-C35-C37</f>
        <v>9396.0499999999956</v>
      </c>
      <c r="D38" s="14">
        <f>D34-D35-D37</f>
        <v>12094.099999999999</v>
      </c>
      <c r="G38" s="20">
        <f>G34-G35-G37</f>
        <v>10615.269999999997</v>
      </c>
      <c r="H38" s="20">
        <f>H34-H35-H37</f>
        <v>15964.100000000006</v>
      </c>
      <c r="K38" s="26">
        <f>K34-K35-K37</f>
        <v>11810.489999999998</v>
      </c>
      <c r="L38" s="26">
        <f>L34-L35-L37</f>
        <v>19834.100000000006</v>
      </c>
      <c r="O38" s="7" t="s">
        <v>45</v>
      </c>
    </row>
    <row r="39" spans="2:15" x14ac:dyDescent="0.25">
      <c r="B39" s="6"/>
      <c r="C39" s="14"/>
      <c r="D39" s="14"/>
      <c r="G39" s="20"/>
      <c r="H39" s="20"/>
      <c r="K39" s="26"/>
      <c r="L39" s="26"/>
      <c r="O39" s="7"/>
    </row>
    <row r="40" spans="2:15" x14ac:dyDescent="0.25">
      <c r="B40" s="6"/>
      <c r="C40" s="13" t="s">
        <v>1</v>
      </c>
      <c r="D40" s="13" t="s">
        <v>2</v>
      </c>
      <c r="E40" s="13" t="s">
        <v>46</v>
      </c>
      <c r="G40" s="19" t="s">
        <v>1</v>
      </c>
      <c r="H40" s="19" t="s">
        <v>2</v>
      </c>
      <c r="I40" s="19" t="s">
        <v>46</v>
      </c>
      <c r="K40" s="25" t="s">
        <v>1</v>
      </c>
      <c r="L40" s="25" t="s">
        <v>2</v>
      </c>
      <c r="M40" s="25" t="s">
        <v>46</v>
      </c>
      <c r="O40" s="7"/>
    </row>
    <row r="41" spans="2:15" x14ac:dyDescent="0.25">
      <c r="B41" s="6" t="s">
        <v>36</v>
      </c>
      <c r="C41" s="14">
        <f>C20</f>
        <v>6590</v>
      </c>
      <c r="D41" s="14">
        <f>SUM(D24:D28)</f>
        <v>4536.9000000000005</v>
      </c>
      <c r="E41" s="14">
        <f>C41-D41</f>
        <v>2053.0999999999995</v>
      </c>
      <c r="G41" s="20">
        <f>G20</f>
        <v>11001</v>
      </c>
      <c r="H41" s="20">
        <f>SUM(H24:H28)</f>
        <v>5226.9000000000005</v>
      </c>
      <c r="I41" s="20">
        <f>G41-H41</f>
        <v>5774.0999999999995</v>
      </c>
      <c r="K41" s="26">
        <f>K20</f>
        <v>15442</v>
      </c>
      <c r="L41" s="26">
        <f>SUM(L24:L28)</f>
        <v>5916.9000000000005</v>
      </c>
      <c r="M41" s="26">
        <f>K41-L41</f>
        <v>9525.0999999999985</v>
      </c>
      <c r="O41" s="7" t="s">
        <v>36</v>
      </c>
    </row>
    <row r="42" spans="2:15" x14ac:dyDescent="0.25">
      <c r="B42" s="6" t="s">
        <v>23</v>
      </c>
      <c r="C42" s="14">
        <f>C21</f>
        <v>11444.94</v>
      </c>
      <c r="D42" s="14">
        <f>D32</f>
        <v>6836.94</v>
      </c>
      <c r="E42" s="14">
        <f>C42-D42</f>
        <v>4608.0000000000009</v>
      </c>
      <c r="G42" s="20">
        <f>G21</f>
        <v>15259.91</v>
      </c>
      <c r="H42" s="20">
        <f>H32</f>
        <v>10886.94</v>
      </c>
      <c r="I42" s="20">
        <f>G42-H42</f>
        <v>4372.9699999999993</v>
      </c>
      <c r="K42" s="26">
        <f>K21</f>
        <v>19074.89</v>
      </c>
      <c r="L42" s="26">
        <f>L32</f>
        <v>14936.94</v>
      </c>
      <c r="M42" s="26">
        <f>K42-L42</f>
        <v>4137.9499999999989</v>
      </c>
      <c r="O42" s="7" t="s">
        <v>23</v>
      </c>
    </row>
    <row r="43" spans="2:15" x14ac:dyDescent="0.25">
      <c r="B43" s="6" t="s">
        <v>35</v>
      </c>
      <c r="C43" s="14">
        <f>C8</f>
        <v>14400</v>
      </c>
      <c r="D43" s="14">
        <f>D8</f>
        <v>19060.59</v>
      </c>
      <c r="E43" s="14">
        <f>C43-D43</f>
        <v>-4660.59</v>
      </c>
      <c r="G43" s="20">
        <f>G8</f>
        <v>14400</v>
      </c>
      <c r="H43" s="20">
        <f>H8</f>
        <v>19060.59</v>
      </c>
      <c r="I43" s="20">
        <f>G43-H43</f>
        <v>-4660.59</v>
      </c>
      <c r="K43" s="26">
        <f>K8</f>
        <v>14400</v>
      </c>
      <c r="L43" s="26">
        <f>L8</f>
        <v>19060.59</v>
      </c>
      <c r="M43" s="26">
        <f>K43-L43</f>
        <v>-4660.59</v>
      </c>
      <c r="O43" s="7" t="s">
        <v>35</v>
      </c>
    </row>
    <row r="44" spans="2:15" x14ac:dyDescent="0.25">
      <c r="B44" s="6" t="s">
        <v>10</v>
      </c>
      <c r="C44" s="14">
        <f>C9</f>
        <v>4320</v>
      </c>
      <c r="D44" s="14">
        <f>D9</f>
        <v>2722.94</v>
      </c>
      <c r="E44" s="14">
        <f>C44-D44</f>
        <v>1597.06</v>
      </c>
      <c r="G44" s="20">
        <f>G9</f>
        <v>4320</v>
      </c>
      <c r="H44" s="20">
        <f>H9</f>
        <v>2722.94</v>
      </c>
      <c r="I44" s="20">
        <f>G44-H44</f>
        <v>1597.06</v>
      </c>
      <c r="K44" s="26">
        <f>K9</f>
        <v>4320</v>
      </c>
      <c r="L44" s="26">
        <f>L9</f>
        <v>2722.94</v>
      </c>
      <c r="M44" s="26">
        <f>K44-L44</f>
        <v>1597.06</v>
      </c>
      <c r="O44" s="7" t="s">
        <v>10</v>
      </c>
    </row>
    <row r="45" spans="2:15" x14ac:dyDescent="0.25">
      <c r="B45" s="8" t="s">
        <v>47</v>
      </c>
      <c r="C45" s="16">
        <f>SUM(C41:C44)</f>
        <v>36754.94</v>
      </c>
      <c r="D45" s="16">
        <f>SUM(D41:D44)</f>
        <v>33157.370000000003</v>
      </c>
      <c r="E45" s="16">
        <f>C45-D45</f>
        <v>3597.5699999999997</v>
      </c>
      <c r="F45" s="9"/>
      <c r="G45" s="22">
        <f>SUM(G41:G44)</f>
        <v>44980.91</v>
      </c>
      <c r="H45" s="22">
        <f>SUM(H41:H44)</f>
        <v>37897.370000000003</v>
      </c>
      <c r="I45" s="22">
        <f>G45-H45</f>
        <v>7083.5400000000009</v>
      </c>
      <c r="J45" s="9"/>
      <c r="K45" s="28">
        <f>SUM(K41:K44)</f>
        <v>53236.89</v>
      </c>
      <c r="L45" s="28">
        <f>SUM(L41:L44)</f>
        <v>42637.37</v>
      </c>
      <c r="M45" s="28">
        <f>K45-L45</f>
        <v>10599.519999999997</v>
      </c>
      <c r="N45" s="9"/>
      <c r="O45" s="10" t="s">
        <v>47</v>
      </c>
    </row>
    <row r="46" spans="2:15" x14ac:dyDescent="0.25">
      <c r="C46" s="11"/>
      <c r="D46" s="11"/>
      <c r="G46" s="17"/>
      <c r="H46" s="17"/>
      <c r="K46" s="23"/>
      <c r="L46" s="23"/>
    </row>
    <row r="47" spans="2:15" ht="18.75" x14ac:dyDescent="0.3">
      <c r="B47" s="2" t="s">
        <v>38</v>
      </c>
      <c r="C47" s="37">
        <f>C45-D45</f>
        <v>3597.5699999999997</v>
      </c>
      <c r="D47" s="37"/>
      <c r="G47" s="38">
        <f>G45-H45</f>
        <v>7083.5400000000009</v>
      </c>
      <c r="H47" s="38"/>
      <c r="K47" s="39">
        <f>K45-L45</f>
        <v>10599.519999999997</v>
      </c>
      <c r="L47" s="39"/>
      <c r="O47" s="2" t="s">
        <v>38</v>
      </c>
    </row>
    <row r="50" spans="3:10" x14ac:dyDescent="0.25">
      <c r="C50" s="33" t="s">
        <v>41</v>
      </c>
    </row>
    <row r="51" spans="3:10" x14ac:dyDescent="0.25">
      <c r="C51" s="29">
        <v>12950</v>
      </c>
      <c r="D51" s="30" t="s">
        <v>3</v>
      </c>
      <c r="E51" s="31"/>
      <c r="F51" s="31"/>
      <c r="G51" s="31"/>
      <c r="H51" s="31"/>
      <c r="I51" s="31"/>
      <c r="J51" s="6"/>
    </row>
    <row r="52" spans="3:10" x14ac:dyDescent="0.25">
      <c r="C52" s="34">
        <v>3.6724999999999999</v>
      </c>
      <c r="D52" s="30" t="s">
        <v>11</v>
      </c>
      <c r="E52" s="31"/>
      <c r="F52" s="31"/>
      <c r="G52" s="31"/>
      <c r="H52" s="31"/>
      <c r="I52" s="31"/>
      <c r="J52" s="6"/>
    </row>
    <row r="54" spans="3:10" x14ac:dyDescent="0.25">
      <c r="C54" s="33" t="s">
        <v>42</v>
      </c>
    </row>
    <row r="55" spans="3:10" x14ac:dyDescent="0.25">
      <c r="C55" s="29">
        <v>2000</v>
      </c>
      <c r="D55" s="30" t="s">
        <v>4</v>
      </c>
      <c r="E55" s="31"/>
      <c r="F55" s="31"/>
      <c r="G55" s="31"/>
      <c r="H55" s="31"/>
      <c r="I55" s="31"/>
      <c r="J55" s="6"/>
    </row>
    <row r="56" spans="3:10" x14ac:dyDescent="0.25">
      <c r="C56" s="29">
        <v>14400</v>
      </c>
      <c r="D56" s="30" t="s">
        <v>28</v>
      </c>
      <c r="E56" s="31"/>
      <c r="F56" s="31"/>
      <c r="G56" s="31"/>
      <c r="H56" s="31"/>
      <c r="I56" s="31"/>
      <c r="J56" s="6"/>
    </row>
    <row r="57" spans="3:10" x14ac:dyDescent="0.25">
      <c r="C57" s="29">
        <v>4320</v>
      </c>
      <c r="D57" s="30" t="s">
        <v>29</v>
      </c>
      <c r="E57" s="31"/>
      <c r="F57" s="31"/>
      <c r="G57" s="31"/>
      <c r="H57" s="31"/>
      <c r="I57" s="31"/>
      <c r="J57" s="6"/>
    </row>
    <row r="58" spans="3:10" x14ac:dyDescent="0.25">
      <c r="C58" s="29">
        <v>12000</v>
      </c>
      <c r="D58" s="30" t="s">
        <v>5</v>
      </c>
      <c r="E58" s="31"/>
      <c r="F58" s="31"/>
      <c r="G58" s="31"/>
      <c r="H58" s="31"/>
      <c r="I58" s="31"/>
      <c r="J58" s="6"/>
    </row>
    <row r="59" spans="3:10" x14ac:dyDescent="0.25">
      <c r="C59" s="1"/>
    </row>
    <row r="60" spans="3:10" x14ac:dyDescent="0.25">
      <c r="C60" s="35" t="s">
        <v>43</v>
      </c>
    </row>
    <row r="61" spans="3:10" x14ac:dyDescent="0.25">
      <c r="C61" s="36">
        <v>0.15</v>
      </c>
      <c r="D61" s="30" t="s">
        <v>33</v>
      </c>
      <c r="E61" s="31"/>
      <c r="F61" s="31"/>
      <c r="G61" s="31"/>
      <c r="H61" s="31"/>
      <c r="I61" s="31"/>
      <c r="J61" s="6"/>
    </row>
    <row r="62" spans="3:10" x14ac:dyDescent="0.25">
      <c r="C62" s="36">
        <v>0.2</v>
      </c>
      <c r="D62" s="30" t="s">
        <v>34</v>
      </c>
      <c r="E62" s="31"/>
      <c r="F62" s="31"/>
      <c r="G62" s="31"/>
      <c r="H62" s="31"/>
      <c r="I62" s="31"/>
      <c r="J62" s="6"/>
    </row>
    <row r="64" spans="3:10" x14ac:dyDescent="0.25">
      <c r="C64" s="33" t="s">
        <v>40</v>
      </c>
    </row>
    <row r="65" spans="3:10" x14ac:dyDescent="0.25">
      <c r="C65" s="32" t="s">
        <v>12</v>
      </c>
      <c r="D65" s="32" t="s">
        <v>13</v>
      </c>
      <c r="E65" s="30"/>
      <c r="F65" s="31"/>
      <c r="G65" s="31"/>
      <c r="H65" s="31"/>
      <c r="I65" s="31"/>
      <c r="J65" s="6"/>
    </row>
    <row r="66" spans="3:10" x14ac:dyDescent="0.25">
      <c r="C66" s="29">
        <v>7500</v>
      </c>
      <c r="D66" s="29">
        <f>ROUND(C66/C52,2)</f>
        <v>2042.21</v>
      </c>
      <c r="E66" s="30" t="s">
        <v>6</v>
      </c>
      <c r="F66" s="31"/>
      <c r="G66" s="31"/>
      <c r="H66" s="31"/>
      <c r="I66" s="31"/>
      <c r="J66" s="6"/>
    </row>
    <row r="67" spans="3:10" x14ac:dyDescent="0.25">
      <c r="C67" s="29">
        <v>2000</v>
      </c>
      <c r="D67" s="29">
        <f>ROUND(C67/C52,2)</f>
        <v>544.59</v>
      </c>
      <c r="E67" s="30" t="s">
        <v>7</v>
      </c>
      <c r="F67" s="31"/>
      <c r="G67" s="31"/>
      <c r="H67" s="31"/>
      <c r="I67" s="31"/>
      <c r="J67" s="6"/>
    </row>
    <row r="68" spans="3:10" x14ac:dyDescent="0.25">
      <c r="C68" s="29">
        <v>1653</v>
      </c>
      <c r="D68" s="29">
        <f>ROUND(C68/C52,2)</f>
        <v>450.1</v>
      </c>
      <c r="E68" s="30" t="s">
        <v>8</v>
      </c>
      <c r="F68" s="31"/>
      <c r="G68" s="31"/>
      <c r="H68" s="31"/>
      <c r="I68" s="31"/>
      <c r="J68" s="6"/>
    </row>
    <row r="69" spans="3:10" x14ac:dyDescent="0.25">
      <c r="C69" s="29">
        <v>70000</v>
      </c>
      <c r="D69" s="29">
        <f>ROUND(C69/C52,2)</f>
        <v>19060.59</v>
      </c>
      <c r="E69" s="30" t="s">
        <v>9</v>
      </c>
      <c r="F69" s="31"/>
      <c r="G69" s="31"/>
      <c r="H69" s="31"/>
      <c r="I69" s="31"/>
      <c r="J69" s="6"/>
    </row>
    <row r="70" spans="3:10" x14ac:dyDescent="0.25">
      <c r="C70" s="29">
        <v>10000</v>
      </c>
      <c r="D70" s="29">
        <f>ROUND(C70/C52,2)</f>
        <v>2722.94</v>
      </c>
      <c r="E70" s="30" t="s">
        <v>10</v>
      </c>
      <c r="F70" s="31"/>
      <c r="G70" s="31"/>
      <c r="H70" s="31"/>
      <c r="I70" s="31"/>
      <c r="J70" s="6"/>
    </row>
  </sheetData>
  <mergeCells count="6">
    <mergeCell ref="C4:D4"/>
    <mergeCell ref="G4:H4"/>
    <mergeCell ref="K4:L4"/>
    <mergeCell ref="C47:D47"/>
    <mergeCell ref="G47:H47"/>
    <mergeCell ref="K47:L47"/>
  </mergeCells>
  <pageMargins left="0.7" right="0.7" top="0.75" bottom="0.75" header="0.3" footer="0.3"/>
  <pageSetup orientation="portrait" r:id="rId1"/>
  <ignoredErrors>
    <ignoredError sqref="C15 G15 K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cathy-uae-vs-us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Villee</dc:creator>
  <cp:lastModifiedBy>Stephen Villee</cp:lastModifiedBy>
  <dcterms:created xsi:type="dcterms:W3CDTF">2022-10-02T01:45:26Z</dcterms:created>
  <dcterms:modified xsi:type="dcterms:W3CDTF">2023-01-08T02:35:57Z</dcterms:modified>
</cp:coreProperties>
</file>